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" sheetId="1" r:id="rId1"/>
  </sheets>
  <definedNames>
    <definedName name="_xlnm.Print_Area" localSheetId="0">'січень'!$A$1:$R$87</definedName>
  </definedNames>
  <calcPr fullCalcOnLoad="1"/>
</workbook>
</file>

<file path=xl/sharedStrings.xml><?xml version="1.0" encoding="utf-8"?>
<sst xmlns="http://schemas.openxmlformats.org/spreadsheetml/2006/main" count="123" uniqueCount="117">
  <si>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</si>
  <si>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</si>
  <si>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</si>
  <si>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</si>
  <si>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</si>
  <si>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</si>
  <si>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</si>
  <si>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</si>
  <si>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</si>
  <si>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</si>
  <si>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</si>
  <si>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</si>
  <si>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</si>
  <si>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</si>
  <si>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</si>
  <si>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</si>
  <si>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</si>
  <si>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</si>
  <si>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</si>
  <si>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</si>
  <si>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</si>
  <si>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</si>
  <si>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</si>
  <si>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</si>
  <si>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</si>
  <si>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</si>
  <si>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</si>
  <si>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</si>
  <si>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</si>
  <si>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</si>
  <si>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</si>
  <si>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</si>
  <si>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</si>
  <si>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</si>
  <si>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</si>
  <si>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</si>
  <si>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</si>
  <si>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</si>
  <si>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</si>
  <si>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</si>
  <si>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</si>
  <si>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</si>
  <si>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</si>
  <si>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</si>
  <si>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</si>
  <si>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</si>
  <si>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</si>
  <si>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</si>
  <si>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</si>
  <si>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</si>
  <si>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</si>
  <si>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</si>
  <si>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</si>
  <si>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</si>
  <si>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</si>
  <si>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</si>
  <si>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</si>
  <si>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</si>
  <si>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</si>
  <si>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</si>
  <si>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</si>
  <si>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</si>
  <si>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</si>
  <si>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</si>
  <si>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</si>
  <si>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</si>
  <si>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</si>
  <si>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Динаміка  фактичних надходжень січень 2013 та 2014 років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</si>
  <si>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</si>
  <si>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</si>
  <si>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</si>
  <si>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</si>
  <si>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</si>
  <si>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</si>
  <si>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</si>
  <si>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</si>
  <si>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</si>
  <si>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</si>
  <si>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</si>
  <si>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</si>
  <si>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</si>
  <si>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</si>
  <si>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</si>
  <si>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</si>
  <si>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</si>
  <si>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</si>
  <si>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</si>
  <si>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</si>
  <si>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</si>
  <si>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</si>
  <si>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</si>
  <si>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</si>
  <si>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</si>
  <si>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</si>
  <si>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</si>
  <si>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</si>
  <si>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</si>
  <si>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</si>
  <si>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</si>
  <si>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</si>
  <si>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</si>
  <si>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</si>
  <si>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</si>
  <si>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</si>
  <si>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</si>
  <si>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</si>
  <si>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</si>
  <si>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</si>
  <si>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</si>
  <si>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</si>
  <si>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</si>
  <si>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</si>
  <si>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 2015 рік</t>
    </r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</si>
  <si>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</si>
  <si>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</si>
  <si>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</si>
  <si>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18.01.2016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</si>
</sst>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93" sqref="E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52" t="s">
        <v>116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92"/>
      <c r="R1" s="93"/>
    </row>
    <row r="2" spans="2:18" s="1" customFormat="1" ht="15.75" customHeight="1">
      <c r="B2" s="153"/>
      <c r="C2" s="153"/>
      <c r="D2" s="1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54"/>
      <c r="B3" s="156"/>
      <c r="C3" s="157" t="s">
        <v>0</v>
      </c>
      <c r="D3" s="158" t="s">
        <v>112</v>
      </c>
      <c r="E3" s="34"/>
      <c r="F3" s="159" t="s">
        <v>26</v>
      </c>
      <c r="G3" s="160"/>
      <c r="H3" s="160"/>
      <c r="I3" s="160"/>
      <c r="J3" s="161"/>
      <c r="K3" s="89"/>
      <c r="L3" s="89"/>
      <c r="M3" s="162" t="s">
        <v>108</v>
      </c>
      <c r="N3" s="165" t="s">
        <v>66</v>
      </c>
      <c r="O3" s="165"/>
      <c r="P3" s="165"/>
      <c r="Q3" s="165"/>
      <c r="R3" s="165"/>
    </row>
    <row r="4" spans="1:18" ht="22.5" customHeight="1">
      <c r="A4" s="154"/>
      <c r="B4" s="156"/>
      <c r="C4" s="157"/>
      <c r="D4" s="158"/>
      <c r="E4" s="166" t="s">
        <v>105</v>
      </c>
      <c r="F4" s="168" t="s">
        <v>34</v>
      </c>
      <c r="G4" s="170" t="s">
        <v>110</v>
      </c>
      <c r="H4" s="163" t="s">
        <v>111</v>
      </c>
      <c r="I4" s="170" t="s">
        <v>106</v>
      </c>
      <c r="J4" s="163" t="s">
        <v>107</v>
      </c>
      <c r="K4" s="91" t="s">
        <v>65</v>
      </c>
      <c r="L4" s="96" t="s">
        <v>64</v>
      </c>
      <c r="M4" s="163"/>
      <c r="N4" s="179" t="s">
        <v>104</v>
      </c>
      <c r="O4" s="170" t="s">
        <v>50</v>
      </c>
      <c r="P4" s="174" t="s">
        <v>49</v>
      </c>
      <c r="Q4" s="97" t="s">
        <v>65</v>
      </c>
      <c r="R4" s="98" t="s">
        <v>64</v>
      </c>
    </row>
    <row r="5" spans="1:18" ht="92.25" customHeight="1">
      <c r="A5" s="155"/>
      <c r="B5" s="156"/>
      <c r="C5" s="157"/>
      <c r="D5" s="158"/>
      <c r="E5" s="167"/>
      <c r="F5" s="169"/>
      <c r="G5" s="171"/>
      <c r="H5" s="164"/>
      <c r="I5" s="171"/>
      <c r="J5" s="164"/>
      <c r="K5" s="172" t="s">
        <v>109</v>
      </c>
      <c r="L5" s="173"/>
      <c r="M5" s="164"/>
      <c r="N5" s="180"/>
      <c r="O5" s="171"/>
      <c r="P5" s="174"/>
      <c r="Q5" s="172" t="s">
        <v>67</v>
      </c>
      <c r="R5" s="17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69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155316.4</v>
      </c>
      <c r="E8" s="15">
        <f>E9+E15+E18+E19+E20+E32+E17</f>
        <v>52015.7</v>
      </c>
      <c r="F8" s="15">
        <f>F9+F15+F18+F19+F20+F32+F17+F42</f>
        <v>19163.77</v>
      </c>
      <c r="G8" s="15">
        <f aca="true" t="shared" si="0" ref="G8:G15">F8-E8</f>
        <v>-32851.92999999999</v>
      </c>
      <c r="H8" s="38">
        <f>F8/E8*100</f>
        <v>36.84228031152133</v>
      </c>
      <c r="I8" s="28">
        <f>F8-D8</f>
        <v>-136152.63</v>
      </c>
      <c r="J8" s="28">
        <f>F8/D8*100</f>
        <v>12.338536046418795</v>
      </c>
      <c r="K8" s="15">
        <f>K9+K15+K18+K19+K20+K32</f>
        <v>-18551.4</v>
      </c>
      <c r="L8" s="15"/>
      <c r="M8" s="15">
        <f>M9+M15+M18+M19+M20+M32+M17</f>
        <v>52015.7</v>
      </c>
      <c r="N8" s="15">
        <f>N9+N15+N18+N19+N20+N32+N17</f>
        <v>19162.91</v>
      </c>
      <c r="O8" s="15">
        <f>N8-M8</f>
        <v>-32852.78999999999</v>
      </c>
      <c r="P8" s="15">
        <f>N8/M8*100</f>
        <v>36.840626964551085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83</v>
      </c>
      <c r="C9" s="48">
        <v>11010000</v>
      </c>
      <c r="D9" s="33">
        <v>78710</v>
      </c>
      <c r="E9" s="33">
        <v>26780</v>
      </c>
      <c r="F9" s="117">
        <v>11195.98</v>
      </c>
      <c r="G9" s="36">
        <f t="shared" si="0"/>
        <v>-15584.02</v>
      </c>
      <c r="H9" s="32">
        <f>F9/E9*100</f>
        <v>41.80724421209858</v>
      </c>
      <c r="I9" s="42">
        <f>F9-D9</f>
        <v>-67514.02</v>
      </c>
      <c r="J9" s="42">
        <f>F9/D9*100</f>
        <v>14.224342523186378</v>
      </c>
      <c r="K9" s="106">
        <f>F9-23209.38</f>
        <v>-12013.400000000001</v>
      </c>
      <c r="L9" s="106">
        <f>F9/23209.38*100</f>
        <v>48.239030943523694</v>
      </c>
      <c r="M9" s="32">
        <f>E9</f>
        <v>26780</v>
      </c>
      <c r="N9" s="32">
        <f>F9</f>
        <v>11195.98</v>
      </c>
      <c r="O9" s="40">
        <f>N9-M9</f>
        <v>-15584.02</v>
      </c>
      <c r="P9" s="42">
        <f>N9/M9*100</f>
        <v>41.80724421209858</v>
      </c>
      <c r="Q9" s="106">
        <f>N9-26568.11</f>
        <v>-15372.130000000001</v>
      </c>
      <c r="R9" s="107">
        <f>N9/26568.11</f>
        <v>0.42140671654852374</v>
      </c>
    </row>
    <row r="10" spans="1:18" s="6" customFormat="1" ht="15" hidden="1">
      <c r="A10" s="8"/>
      <c r="B10" s="136" t="s">
        <v>94</v>
      </c>
      <c r="C10" s="108">
        <v>11010100</v>
      </c>
      <c r="D10" s="109">
        <v>70800</v>
      </c>
      <c r="E10" s="109">
        <v>23800</v>
      </c>
      <c r="F10" s="118">
        <v>10681.71</v>
      </c>
      <c r="G10" s="109">
        <f t="shared" si="0"/>
        <v>-13118.29</v>
      </c>
      <c r="H10" s="32">
        <f aca="true" t="shared" si="1" ref="H10:H32">F10/E10*100</f>
        <v>44.881134453781506</v>
      </c>
      <c r="I10" s="42">
        <f aca="true" t="shared" si="2" ref="I10:I32">F10-D10</f>
        <v>-60118.29</v>
      </c>
      <c r="J10" s="42">
        <f aca="true" t="shared" si="3" ref="J10:J32">F10/D10*100</f>
        <v>15.087161016949151</v>
      </c>
      <c r="K10" s="112">
        <f>F10-310040.1/75*60</f>
        <v>-237350.36999999997</v>
      </c>
      <c r="L10" s="112">
        <f>F10/(310040.1/75*60)*100</f>
        <v>4.3065840515468805</v>
      </c>
      <c r="M10" s="111">
        <f aca="true" t="shared" si="4" ref="M10:M15">E10</f>
        <v>23800</v>
      </c>
      <c r="N10" s="111">
        <f aca="true" t="shared" si="5" ref="N10:N32">F10</f>
        <v>10681.71</v>
      </c>
      <c r="O10" s="40">
        <f aca="true" t="shared" si="6" ref="O10:O32">N10-M10</f>
        <v>-13118.29</v>
      </c>
      <c r="P10" s="42">
        <f aca="true" t="shared" si="7" ref="P10:P32">N10/M10*100</f>
        <v>44.881134453781506</v>
      </c>
      <c r="Q10" s="42"/>
      <c r="R10" s="100"/>
    </row>
    <row r="11" spans="1:18" s="6" customFormat="1" ht="15" hidden="1">
      <c r="A11" s="8"/>
      <c r="B11" s="136" t="s">
        <v>90</v>
      </c>
      <c r="C11" s="108">
        <v>11010200</v>
      </c>
      <c r="D11" s="109">
        <v>4200</v>
      </c>
      <c r="E11" s="109">
        <v>1500</v>
      </c>
      <c r="F11" s="118">
        <v>334.7</v>
      </c>
      <c r="G11" s="109">
        <f t="shared" si="0"/>
        <v>-1165.3</v>
      </c>
      <c r="H11" s="32">
        <f t="shared" si="1"/>
        <v>22.313333333333333</v>
      </c>
      <c r="I11" s="42">
        <f t="shared" si="2"/>
        <v>-3865.3</v>
      </c>
      <c r="J11" s="42">
        <f t="shared" si="3"/>
        <v>7.969047619047618</v>
      </c>
      <c r="K11" s="112">
        <f>F11-24192.03/75*60</f>
        <v>-19018.923999999995</v>
      </c>
      <c r="L11" s="112">
        <f>F11/(24192.03/75*60)*100</f>
        <v>1.7293918699670927</v>
      </c>
      <c r="M11" s="111">
        <f t="shared" si="4"/>
        <v>1500</v>
      </c>
      <c r="N11" s="111">
        <f t="shared" si="5"/>
        <v>334.7</v>
      </c>
      <c r="O11" s="40">
        <f t="shared" si="6"/>
        <v>-1165.3</v>
      </c>
      <c r="P11" s="42">
        <f t="shared" si="7"/>
        <v>22.313333333333333</v>
      </c>
      <c r="Q11" s="42"/>
      <c r="R11" s="100"/>
    </row>
    <row r="12" spans="1:18" s="6" customFormat="1" ht="15" hidden="1">
      <c r="A12" s="8"/>
      <c r="B12" s="136" t="s">
        <v>93</v>
      </c>
      <c r="C12" s="108">
        <v>11010400</v>
      </c>
      <c r="D12" s="109">
        <v>1220</v>
      </c>
      <c r="E12" s="109">
        <v>650</v>
      </c>
      <c r="F12" s="118">
        <v>126.45</v>
      </c>
      <c r="G12" s="109">
        <f t="shared" si="0"/>
        <v>-523.55</v>
      </c>
      <c r="H12" s="32">
        <f t="shared" si="1"/>
        <v>19.453846153846154</v>
      </c>
      <c r="I12" s="42">
        <f t="shared" si="2"/>
        <v>-1093.55</v>
      </c>
      <c r="J12" s="42">
        <f t="shared" si="3"/>
        <v>10.364754098360656</v>
      </c>
      <c r="K12" s="112">
        <f>F12-6123.95/75*60</f>
        <v>-4772.71</v>
      </c>
      <c r="L12" s="112">
        <f>F12/(6123.95*60)*100</f>
        <v>0.03441406281893223</v>
      </c>
      <c r="M12" s="111">
        <f t="shared" si="4"/>
        <v>650</v>
      </c>
      <c r="N12" s="111">
        <f t="shared" si="5"/>
        <v>126.45</v>
      </c>
      <c r="O12" s="40">
        <f t="shared" si="6"/>
        <v>-523.55</v>
      </c>
      <c r="P12" s="42">
        <f t="shared" si="7"/>
        <v>19.453846153846154</v>
      </c>
      <c r="Q12" s="42"/>
      <c r="R12" s="100"/>
    </row>
    <row r="13" spans="1:18" s="6" customFormat="1" ht="15" hidden="1">
      <c r="A13" s="8"/>
      <c r="B13" s="136" t="s">
        <v>91</v>
      </c>
      <c r="C13" s="108">
        <v>11010500</v>
      </c>
      <c r="D13" s="109">
        <v>690</v>
      </c>
      <c r="E13" s="109">
        <v>230</v>
      </c>
      <c r="F13" s="118">
        <v>52.12</v>
      </c>
      <c r="G13" s="109">
        <f t="shared" si="0"/>
        <v>-177.88</v>
      </c>
      <c r="H13" s="32">
        <f t="shared" si="1"/>
        <v>22.66086956521739</v>
      </c>
      <c r="I13" s="42">
        <f t="shared" si="2"/>
        <v>-637.88</v>
      </c>
      <c r="J13" s="42">
        <f t="shared" si="3"/>
        <v>7.553623188405796</v>
      </c>
      <c r="K13" s="112">
        <f>F13-8694.58/75*60</f>
        <v>-6903.544</v>
      </c>
      <c r="L13" s="112">
        <f>F13/(8694.58/75*60)*100</f>
        <v>0.7493173908342898</v>
      </c>
      <c r="M13" s="111">
        <f t="shared" si="4"/>
        <v>230</v>
      </c>
      <c r="N13" s="111">
        <f t="shared" si="5"/>
        <v>52.12</v>
      </c>
      <c r="O13" s="40">
        <f t="shared" si="6"/>
        <v>-177.88</v>
      </c>
      <c r="P13" s="42">
        <f t="shared" si="7"/>
        <v>22.66086956521739</v>
      </c>
      <c r="Q13" s="42"/>
      <c r="R13" s="100"/>
    </row>
    <row r="14" spans="1:18" s="6" customFormat="1" ht="15" hidden="1">
      <c r="A14" s="8"/>
      <c r="B14" s="136" t="s">
        <v>92</v>
      </c>
      <c r="C14" s="108">
        <v>11010900</v>
      </c>
      <c r="D14" s="109">
        <v>1800</v>
      </c>
      <c r="E14" s="109">
        <v>600</v>
      </c>
      <c r="F14" s="118">
        <v>0.99</v>
      </c>
      <c r="G14" s="109">
        <f t="shared" si="0"/>
        <v>-599.01</v>
      </c>
      <c r="H14" s="32">
        <f t="shared" si="1"/>
        <v>0.165</v>
      </c>
      <c r="I14" s="42">
        <f t="shared" si="2"/>
        <v>-1799.01</v>
      </c>
      <c r="J14" s="42">
        <f t="shared" si="3"/>
        <v>0.055</v>
      </c>
      <c r="K14" s="112">
        <f>F14-146.72/75*60</f>
        <v>-116.386</v>
      </c>
      <c r="L14" s="112">
        <f>F14/(146.72/75*60)*100</f>
        <v>0.8434432933478736</v>
      </c>
      <c r="M14" s="111">
        <f t="shared" si="4"/>
        <v>600</v>
      </c>
      <c r="N14" s="111">
        <f t="shared" si="5"/>
        <v>0.99</v>
      </c>
      <c r="O14" s="40">
        <f t="shared" si="6"/>
        <v>-599.01</v>
      </c>
      <c r="P14" s="42">
        <f t="shared" si="7"/>
        <v>0.165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>
        <f>N15-358.81</f>
        <v>-358.81</v>
      </c>
      <c r="R15" s="100">
        <f>N15/358.81</f>
        <v>0</v>
      </c>
    </row>
    <row r="16" spans="1:18" s="6" customFormat="1" ht="15" hidden="1">
      <c r="A16" s="8"/>
      <c r="B16" s="55" t="s">
        <v>68</v>
      </c>
      <c r="C16" s="108">
        <v>11010232</v>
      </c>
      <c r="D16" s="109">
        <v>0</v>
      </c>
      <c r="E16" s="109">
        <v>0</v>
      </c>
      <c r="F16" s="11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89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76</v>
      </c>
      <c r="C18" s="48">
        <v>13030200</v>
      </c>
      <c r="D18" s="33">
        <v>0</v>
      </c>
      <c r="E18" s="33">
        <v>0</v>
      </c>
      <c r="F18" s="11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75</v>
      </c>
      <c r="C19" s="48">
        <v>14040000</v>
      </c>
      <c r="D19" s="36">
        <v>21100</v>
      </c>
      <c r="E19" s="36">
        <v>7000</v>
      </c>
      <c r="F19" s="125">
        <v>202.61</v>
      </c>
      <c r="G19" s="36">
        <f t="shared" si="8"/>
        <v>-6797.39</v>
      </c>
      <c r="H19" s="32">
        <f t="shared" si="1"/>
        <v>2.8944285714285716</v>
      </c>
      <c r="I19" s="42">
        <f t="shared" si="2"/>
        <v>-20897.39</v>
      </c>
      <c r="J19" s="42">
        <f t="shared" si="3"/>
        <v>0.9602369668246445</v>
      </c>
      <c r="K19" s="133">
        <f>F19-0</f>
        <v>202.61</v>
      </c>
      <c r="L19" s="134"/>
      <c r="M19" s="32">
        <f t="shared" si="9"/>
        <v>7000</v>
      </c>
      <c r="N19" s="32">
        <f t="shared" si="5"/>
        <v>202.61</v>
      </c>
      <c r="O19" s="40">
        <f t="shared" si="6"/>
        <v>-6797.39</v>
      </c>
      <c r="P19" s="42">
        <f t="shared" si="7"/>
        <v>2.8944285714285716</v>
      </c>
      <c r="Q19" s="113"/>
      <c r="R19" s="114"/>
    </row>
    <row r="20" spans="1:18" s="6" customFormat="1" ht="15">
      <c r="A20" s="8"/>
      <c r="B20" s="130" t="s">
        <v>77</v>
      </c>
      <c r="C20" s="48">
        <v>18000000</v>
      </c>
      <c r="D20" s="36">
        <f>D21+D25+D27</f>
        <v>53373.5</v>
      </c>
      <c r="E20" s="36">
        <f>E21+E25+E27</f>
        <v>18234.5</v>
      </c>
      <c r="F20" s="126">
        <f>F21+F25+F27+F26</f>
        <v>7763.75</v>
      </c>
      <c r="G20" s="36">
        <f t="shared" si="8"/>
        <v>-10470.75</v>
      </c>
      <c r="H20" s="32">
        <f t="shared" si="1"/>
        <v>42.57725739669308</v>
      </c>
      <c r="I20" s="42">
        <f t="shared" si="2"/>
        <v>-45609.75</v>
      </c>
      <c r="J20" s="42">
        <f t="shared" si="3"/>
        <v>14.54607623633451</v>
      </c>
      <c r="K20" s="132">
        <f>K21+K25+K26+K27</f>
        <v>-7298.509999999999</v>
      </c>
      <c r="L20" s="110">
        <f>F20/15062.3*100</f>
        <v>51.54425286974765</v>
      </c>
      <c r="M20" s="32">
        <f t="shared" si="9"/>
        <v>18234.5</v>
      </c>
      <c r="N20" s="32">
        <f t="shared" si="5"/>
        <v>7763.75</v>
      </c>
      <c r="O20" s="40">
        <f t="shared" si="6"/>
        <v>-10470.75</v>
      </c>
      <c r="P20" s="42">
        <f t="shared" si="7"/>
        <v>42.57725739669308</v>
      </c>
      <c r="Q20" s="113"/>
      <c r="R20" s="114"/>
    </row>
    <row r="21" spans="1:18" s="6" customFormat="1" ht="15">
      <c r="A21" s="8"/>
      <c r="B21" s="49" t="s">
        <v>85</v>
      </c>
      <c r="C21" s="127">
        <v>18010000</v>
      </c>
      <c r="D21" s="36">
        <f>D22+D23+D24</f>
        <v>32530</v>
      </c>
      <c r="E21" s="36">
        <f>E22+E23+E24</f>
        <v>9720</v>
      </c>
      <c r="F21" s="126">
        <f>F22+F23+F24</f>
        <v>1148.87</v>
      </c>
      <c r="G21" s="36">
        <f t="shared" si="8"/>
        <v>-8571.130000000001</v>
      </c>
      <c r="H21" s="32">
        <f t="shared" si="1"/>
        <v>11.819650205761317</v>
      </c>
      <c r="I21" s="42">
        <f t="shared" si="2"/>
        <v>-31381.13</v>
      </c>
      <c r="J21" s="42">
        <f t="shared" si="3"/>
        <v>3.5317245619428212</v>
      </c>
      <c r="K21" s="132">
        <f>K22+K23+K24</f>
        <v>-5433.81</v>
      </c>
      <c r="L21" s="110">
        <f>F21/6582.7*100</f>
        <v>17.4528688835888</v>
      </c>
      <c r="M21" s="32">
        <f t="shared" si="9"/>
        <v>9720</v>
      </c>
      <c r="N21" s="32">
        <f t="shared" si="5"/>
        <v>1148.87</v>
      </c>
      <c r="O21" s="40">
        <f t="shared" si="6"/>
        <v>-8571.130000000001</v>
      </c>
      <c r="P21" s="42">
        <f t="shared" si="7"/>
        <v>11.819650205761317</v>
      </c>
      <c r="Q21" s="113"/>
      <c r="R21" s="114"/>
    </row>
    <row r="22" spans="1:18" s="6" customFormat="1" ht="15">
      <c r="A22" s="8"/>
      <c r="B22" s="55" t="s">
        <v>78</v>
      </c>
      <c r="C22" s="138"/>
      <c r="D22" s="109">
        <f>320+378+2002+600</f>
        <v>3300</v>
      </c>
      <c r="E22" s="109">
        <f>45+4+1+200</f>
        <v>250</v>
      </c>
      <c r="F22" s="118">
        <v>302.74</v>
      </c>
      <c r="G22" s="109">
        <f>F22-E22</f>
        <v>52.74000000000001</v>
      </c>
      <c r="H22" s="111">
        <f t="shared" si="1"/>
        <v>121.096</v>
      </c>
      <c r="I22" s="110">
        <f t="shared" si="2"/>
        <v>-2997.26</v>
      </c>
      <c r="J22" s="110">
        <f t="shared" si="3"/>
        <v>9.173939393939394</v>
      </c>
      <c r="K22" s="110">
        <f>F22-84.67</f>
        <v>218.07</v>
      </c>
      <c r="L22" s="110">
        <f>F22/84.67*100</f>
        <v>357.55285224991144</v>
      </c>
      <c r="M22" s="111">
        <f t="shared" si="9"/>
        <v>250</v>
      </c>
      <c r="N22" s="111">
        <f t="shared" si="5"/>
        <v>302.74</v>
      </c>
      <c r="O22" s="112">
        <f t="shared" si="6"/>
        <v>52.74000000000001</v>
      </c>
      <c r="P22" s="110">
        <f t="shared" si="7"/>
        <v>121.096</v>
      </c>
      <c r="Q22" s="113"/>
      <c r="R22" s="114"/>
    </row>
    <row r="23" spans="1:18" s="6" customFormat="1" ht="15">
      <c r="A23" s="8"/>
      <c r="B23" s="55" t="s">
        <v>79</v>
      </c>
      <c r="C23" s="138"/>
      <c r="D23" s="109">
        <f>30+30</f>
        <v>60</v>
      </c>
      <c r="E23" s="109">
        <f>10+10</f>
        <v>20</v>
      </c>
      <c r="F23" s="118">
        <v>6.25</v>
      </c>
      <c r="G23" s="109">
        <f>F23-E23</f>
        <v>-13.75</v>
      </c>
      <c r="H23" s="111">
        <f t="shared" si="1"/>
        <v>31.25</v>
      </c>
      <c r="I23" s="110">
        <f t="shared" si="2"/>
        <v>-53.75</v>
      </c>
      <c r="J23" s="110">
        <f t="shared" si="3"/>
        <v>10.416666666666668</v>
      </c>
      <c r="K23" s="110">
        <f>F23-0</f>
        <v>6.25</v>
      </c>
      <c r="L23" s="110"/>
      <c r="M23" s="111">
        <f t="shared" si="9"/>
        <v>20</v>
      </c>
      <c r="N23" s="111">
        <f t="shared" si="5"/>
        <v>6.25</v>
      </c>
      <c r="O23" s="112">
        <f t="shared" si="6"/>
        <v>-13.75</v>
      </c>
      <c r="P23" s="110">
        <f t="shared" si="7"/>
        <v>31.25</v>
      </c>
      <c r="Q23" s="113"/>
      <c r="R23" s="114"/>
    </row>
    <row r="24" spans="1:18" s="6" customFormat="1" ht="15">
      <c r="A24" s="8"/>
      <c r="B24" s="55" t="s">
        <v>80</v>
      </c>
      <c r="C24" s="138"/>
      <c r="D24" s="109">
        <f>7700+17200+170+4100</f>
        <v>29170</v>
      </c>
      <c r="E24" s="109">
        <f>2500+5600+50+1300</f>
        <v>9450</v>
      </c>
      <c r="F24" s="118">
        <v>839.88</v>
      </c>
      <c r="G24" s="109">
        <f>F24-E24</f>
        <v>-8610.12</v>
      </c>
      <c r="H24" s="111">
        <f t="shared" si="1"/>
        <v>8.887619047619047</v>
      </c>
      <c r="I24" s="110">
        <f t="shared" si="2"/>
        <v>-28330.12</v>
      </c>
      <c r="J24" s="110">
        <f t="shared" si="3"/>
        <v>2.8792595131984915</v>
      </c>
      <c r="K24" s="142">
        <f>F24-6498.01</f>
        <v>-5658.13</v>
      </c>
      <c r="L24" s="142">
        <f>F24/6498.01*100</f>
        <v>12.925187865207963</v>
      </c>
      <c r="M24" s="111">
        <f t="shared" si="9"/>
        <v>9450</v>
      </c>
      <c r="N24" s="111">
        <f t="shared" si="5"/>
        <v>839.88</v>
      </c>
      <c r="O24" s="112">
        <f t="shared" si="6"/>
        <v>-8610.12</v>
      </c>
      <c r="P24" s="110">
        <f t="shared" si="7"/>
        <v>8.887619047619047</v>
      </c>
      <c r="Q24" s="113"/>
      <c r="R24" s="114"/>
    </row>
    <row r="25" spans="1:18" s="6" customFormat="1" ht="15">
      <c r="A25" s="8"/>
      <c r="B25" s="49" t="s">
        <v>86</v>
      </c>
      <c r="C25" s="127">
        <v>18030000</v>
      </c>
      <c r="D25" s="36">
        <v>36</v>
      </c>
      <c r="E25" s="36">
        <v>12</v>
      </c>
      <c r="F25" s="125">
        <v>0</v>
      </c>
      <c r="G25" s="36">
        <f>F25-E25</f>
        <v>-12</v>
      </c>
      <c r="H25" s="32">
        <f t="shared" si="1"/>
        <v>0</v>
      </c>
      <c r="I25" s="42">
        <f t="shared" si="2"/>
        <v>-36</v>
      </c>
      <c r="J25" s="42">
        <f t="shared" si="3"/>
        <v>0</v>
      </c>
      <c r="K25" s="132">
        <f>F25-2.4</f>
        <v>-2.4</v>
      </c>
      <c r="L25" s="132">
        <f>F25/2.4*100</f>
        <v>0</v>
      </c>
      <c r="M25" s="32">
        <f t="shared" si="9"/>
        <v>12</v>
      </c>
      <c r="N25" s="32">
        <f t="shared" si="5"/>
        <v>0</v>
      </c>
      <c r="O25" s="40">
        <f t="shared" si="6"/>
        <v>-12</v>
      </c>
      <c r="P25" s="42">
        <f t="shared" si="7"/>
        <v>0</v>
      </c>
      <c r="Q25" s="113"/>
      <c r="R25" s="114"/>
    </row>
    <row r="26" spans="1:18" s="6" customFormat="1" ht="49.5" customHeight="1">
      <c r="A26" s="8"/>
      <c r="B26" s="49" t="s">
        <v>87</v>
      </c>
      <c r="C26" s="127">
        <v>18040000</v>
      </c>
      <c r="D26" s="36"/>
      <c r="E26" s="36"/>
      <c r="F26" s="125">
        <v>0.62</v>
      </c>
      <c r="G26" s="36">
        <f aca="true" t="shared" si="10" ref="G26:G32">F26-E26</f>
        <v>0.62</v>
      </c>
      <c r="H26" s="32"/>
      <c r="I26" s="42">
        <f t="shared" si="2"/>
        <v>0.62</v>
      </c>
      <c r="J26" s="42"/>
      <c r="K26" s="132">
        <f>F26-142.7</f>
        <v>-142.07999999999998</v>
      </c>
      <c r="L26" s="132">
        <f>F26/142.7*100</f>
        <v>0.4344779257182902</v>
      </c>
      <c r="M26" s="32">
        <f t="shared" si="9"/>
        <v>0</v>
      </c>
      <c r="N26" s="32">
        <f t="shared" si="5"/>
        <v>0.62</v>
      </c>
      <c r="O26" s="40">
        <f t="shared" si="6"/>
        <v>0.62</v>
      </c>
      <c r="P26" s="42"/>
      <c r="Q26" s="113"/>
      <c r="R26" s="114"/>
    </row>
    <row r="27" spans="1:18" s="6" customFormat="1" ht="15">
      <c r="A27" s="8"/>
      <c r="B27" s="49" t="s">
        <v>88</v>
      </c>
      <c r="C27" s="127">
        <v>18050000</v>
      </c>
      <c r="D27" s="36">
        <v>20807.5</v>
      </c>
      <c r="E27" s="36">
        <v>8502.5</v>
      </c>
      <c r="F27" s="125">
        <v>6614.26</v>
      </c>
      <c r="G27" s="36">
        <f t="shared" si="10"/>
        <v>-1888.2399999999998</v>
      </c>
      <c r="H27" s="32">
        <f t="shared" si="1"/>
        <v>77.79194354601589</v>
      </c>
      <c r="I27" s="42">
        <f t="shared" si="2"/>
        <v>-14193.24</v>
      </c>
      <c r="J27" s="42">
        <f t="shared" si="3"/>
        <v>31.78786495254115</v>
      </c>
      <c r="K27" s="106">
        <f>F27-8334.48</f>
        <v>-1720.2199999999993</v>
      </c>
      <c r="L27" s="106">
        <f>F27/8334.48*100</f>
        <v>79.36020003647499</v>
      </c>
      <c r="M27" s="32">
        <f t="shared" si="9"/>
        <v>8502.5</v>
      </c>
      <c r="N27" s="32">
        <f t="shared" si="5"/>
        <v>6614.26</v>
      </c>
      <c r="O27" s="40">
        <f t="shared" si="6"/>
        <v>-1888.2399999999998</v>
      </c>
      <c r="P27" s="42">
        <f t="shared" si="7"/>
        <v>77.79194354601589</v>
      </c>
      <c r="Q27" s="113"/>
      <c r="R27" s="114"/>
    </row>
    <row r="28" spans="1:18" s="6" customFormat="1" ht="15" hidden="1">
      <c r="A28" s="8"/>
      <c r="B28" s="55" t="s">
        <v>95</v>
      </c>
      <c r="C28" s="108">
        <v>18050200</v>
      </c>
      <c r="D28" s="109">
        <v>0</v>
      </c>
      <c r="E28" s="109">
        <v>0</v>
      </c>
      <c r="F28" s="118">
        <v>0</v>
      </c>
      <c r="G28" s="36">
        <f t="shared" si="10"/>
        <v>0</v>
      </c>
      <c r="H28" s="32" t="e">
        <f t="shared" si="1"/>
        <v>#DIV/0!</v>
      </c>
      <c r="I28" s="42">
        <f t="shared" si="2"/>
        <v>0</v>
      </c>
      <c r="J28" s="42" t="e">
        <f t="shared" si="3"/>
        <v>#DIV/0!</v>
      </c>
      <c r="K28" s="113">
        <f>F28-1.21</f>
        <v>-1.21</v>
      </c>
      <c r="L28" s="113">
        <f>F28/1.21*100</f>
        <v>0</v>
      </c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 hidden="1">
      <c r="A29" s="8"/>
      <c r="B29" s="55" t="s">
        <v>96</v>
      </c>
      <c r="C29" s="108">
        <v>18050300</v>
      </c>
      <c r="D29" s="109">
        <v>5800</v>
      </c>
      <c r="E29" s="109">
        <v>2500</v>
      </c>
      <c r="F29" s="118">
        <v>575.41</v>
      </c>
      <c r="G29" s="36">
        <f t="shared" si="10"/>
        <v>-1924.5900000000001</v>
      </c>
      <c r="H29" s="32">
        <f t="shared" si="1"/>
        <v>23.016399999999997</v>
      </c>
      <c r="I29" s="42">
        <f t="shared" si="2"/>
        <v>-5224.59</v>
      </c>
      <c r="J29" s="42">
        <f t="shared" si="3"/>
        <v>9.920862068965516</v>
      </c>
      <c r="K29" s="113">
        <f>F29-22211.27</f>
        <v>-21635.86</v>
      </c>
      <c r="L29" s="113">
        <f>F29/22211.27*100</f>
        <v>2.59062178794819</v>
      </c>
      <c r="M29" s="32">
        <f t="shared" si="9"/>
        <v>2500</v>
      </c>
      <c r="N29" s="32">
        <f t="shared" si="5"/>
        <v>575.41</v>
      </c>
      <c r="O29" s="40">
        <f t="shared" si="6"/>
        <v>-1924.5900000000001</v>
      </c>
      <c r="P29" s="42">
        <f t="shared" si="7"/>
        <v>23.016399999999997</v>
      </c>
      <c r="Q29" s="113"/>
      <c r="R29" s="114"/>
    </row>
    <row r="30" spans="1:18" s="6" customFormat="1" ht="15" hidden="1">
      <c r="A30" s="8"/>
      <c r="B30" s="55" t="s">
        <v>97</v>
      </c>
      <c r="C30" s="108">
        <v>18050400</v>
      </c>
      <c r="D30" s="109">
        <v>15000</v>
      </c>
      <c r="E30" s="109">
        <v>6000</v>
      </c>
      <c r="F30" s="118">
        <v>6039.28</v>
      </c>
      <c r="G30" s="36">
        <f t="shared" si="10"/>
        <v>39.279999999999745</v>
      </c>
      <c r="H30" s="32">
        <f t="shared" si="1"/>
        <v>100.65466666666667</v>
      </c>
      <c r="I30" s="42">
        <f t="shared" si="2"/>
        <v>-8960.720000000001</v>
      </c>
      <c r="J30" s="42">
        <f t="shared" si="3"/>
        <v>40.26186666666666</v>
      </c>
      <c r="K30" s="113">
        <f>F30-57105.32</f>
        <v>-51066.04</v>
      </c>
      <c r="L30" s="113">
        <f>F30/57105.32*100</f>
        <v>10.57568716890125</v>
      </c>
      <c r="M30" s="32">
        <f t="shared" si="9"/>
        <v>6000</v>
      </c>
      <c r="N30" s="32">
        <f t="shared" si="5"/>
        <v>6039.28</v>
      </c>
      <c r="O30" s="40">
        <f t="shared" si="6"/>
        <v>39.279999999999745</v>
      </c>
      <c r="P30" s="42">
        <f t="shared" si="7"/>
        <v>100.65466666666667</v>
      </c>
      <c r="Q30" s="113"/>
      <c r="R30" s="114"/>
    </row>
    <row r="31" spans="1:18" s="6" customFormat="1" ht="15" hidden="1">
      <c r="A31" s="8"/>
      <c r="B31" s="55" t="s">
        <v>98</v>
      </c>
      <c r="C31" s="108">
        <v>18050500</v>
      </c>
      <c r="D31" s="109">
        <v>7.5</v>
      </c>
      <c r="E31" s="109">
        <v>2.5</v>
      </c>
      <c r="F31" s="118">
        <v>-0.43</v>
      </c>
      <c r="G31" s="36">
        <f t="shared" si="10"/>
        <v>-2.93</v>
      </c>
      <c r="H31" s="32">
        <f t="shared" si="1"/>
        <v>-17.2</v>
      </c>
      <c r="I31" s="42">
        <f t="shared" si="2"/>
        <v>-7.93</v>
      </c>
      <c r="J31" s="42">
        <f t="shared" si="3"/>
        <v>-5.733333333333333</v>
      </c>
      <c r="K31" s="113">
        <f>F31-0</f>
        <v>-0.43</v>
      </c>
      <c r="L31" s="113"/>
      <c r="M31" s="32">
        <f t="shared" si="9"/>
        <v>2.5</v>
      </c>
      <c r="N31" s="32">
        <f t="shared" si="5"/>
        <v>-0.43</v>
      </c>
      <c r="O31" s="40">
        <f t="shared" si="6"/>
        <v>-2.93</v>
      </c>
      <c r="P31" s="42">
        <f t="shared" si="7"/>
        <v>-17.2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25">
        <f>0.57</f>
        <v>0.57</v>
      </c>
      <c r="G32" s="36">
        <f t="shared" si="10"/>
        <v>-0.63</v>
      </c>
      <c r="H32" s="32">
        <f t="shared" si="1"/>
        <v>47.5</v>
      </c>
      <c r="I32" s="42">
        <f t="shared" si="2"/>
        <v>-2032.3300000000002</v>
      </c>
      <c r="J32" s="42">
        <f t="shared" si="3"/>
        <v>0.028038762359191297</v>
      </c>
      <c r="K32" s="132">
        <f>F32-8.89</f>
        <v>-8.32</v>
      </c>
      <c r="L32" s="132">
        <f>F32/8.89*100</f>
        <v>6.411698537682789</v>
      </c>
      <c r="M32" s="32">
        <f t="shared" si="9"/>
        <v>1.2</v>
      </c>
      <c r="N32" s="32">
        <f t="shared" si="5"/>
        <v>0.57</v>
      </c>
      <c r="O32" s="40">
        <f t="shared" si="6"/>
        <v>-0.63</v>
      </c>
      <c r="P32" s="42">
        <f t="shared" si="7"/>
        <v>47.5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</f>
        <v>6959.3</v>
      </c>
      <c r="E33" s="15">
        <f>E34+E35+E36+E37+E38+E44+E45+E50+E51+E55+E41+E39+E54</f>
        <v>2316.1</v>
      </c>
      <c r="F33" s="15">
        <f>F34+F35+F36+F37+F38+F44+F45+F50+F51+F55+F41+F39+F54</f>
        <v>1283.11</v>
      </c>
      <c r="G33" s="37">
        <f>F33-E33</f>
        <v>-1032.99</v>
      </c>
      <c r="H33" s="38">
        <f>F33/E33*100</f>
        <v>55.39959414533051</v>
      </c>
      <c r="I33" s="28">
        <f>F33-D33</f>
        <v>-5676.1900000000005</v>
      </c>
      <c r="J33" s="28">
        <f>F33/D33*100</f>
        <v>18.437342836204788</v>
      </c>
      <c r="K33" s="15">
        <f>K34+K35+K36+K37+K38+K44+K45+K50+K51+K55+K41</f>
        <v>260.73</v>
      </c>
      <c r="L33" s="15"/>
      <c r="M33" s="15">
        <f>M34+M35+M36+M37+M38+M44+M45+M50+M51+M55+M41+M39</f>
        <v>2316.1</v>
      </c>
      <c r="N33" s="15">
        <f>N34+N35+N36+N37+N38+N44+N45+N50+N51+N55+N41+N39</f>
        <v>1283.11</v>
      </c>
      <c r="O33" s="15">
        <f>N33/M33*100</f>
        <v>55.39959414533051</v>
      </c>
      <c r="P33" s="15">
        <f>N33/M33*100</f>
        <v>55.39959414533051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103</v>
      </c>
      <c r="C34" s="48">
        <v>21010301</v>
      </c>
      <c r="D34" s="33">
        <v>11</v>
      </c>
      <c r="E34" s="33">
        <v>0</v>
      </c>
      <c r="F34" s="117">
        <v>0</v>
      </c>
      <c r="G34" s="36">
        <f>F34-E34</f>
        <v>0</v>
      </c>
      <c r="H34" s="32"/>
      <c r="I34" s="42">
        <f>F34-D34</f>
        <v>-11</v>
      </c>
      <c r="J34" s="42">
        <f>F34/D34*100</f>
        <v>0</v>
      </c>
      <c r="K34" s="42">
        <f>F34-0</f>
        <v>0</v>
      </c>
      <c r="L34" s="42"/>
      <c r="M34" s="32">
        <f>E34</f>
        <v>0</v>
      </c>
      <c r="N34" s="32">
        <f>F34</f>
        <v>0</v>
      </c>
      <c r="O34" s="40">
        <f>N34-M34</f>
        <v>0</v>
      </c>
      <c r="P34" s="42"/>
      <c r="Q34" s="42">
        <f>N34-0</f>
        <v>0</v>
      </c>
      <c r="R34" s="100" t="e">
        <f>N34/0</f>
        <v>#DIV/0!</v>
      </c>
    </row>
    <row r="35" spans="1:18" s="6" customFormat="1" ht="30.75">
      <c r="A35" s="8"/>
      <c r="B35" s="144" t="s">
        <v>81</v>
      </c>
      <c r="C35" s="47">
        <v>21050000</v>
      </c>
      <c r="D35" s="33">
        <v>0</v>
      </c>
      <c r="E35" s="33">
        <v>0</v>
      </c>
      <c r="F35" s="11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>
        <f>N35-0</f>
        <v>0</v>
      </c>
      <c r="R35" s="100" t="e">
        <f>N35/0</f>
        <v>#DIV/0!</v>
      </c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17">
        <v>0</v>
      </c>
      <c r="G36" s="36">
        <f t="shared" si="11"/>
        <v>-2</v>
      </c>
      <c r="H36" s="32">
        <f aca="true" t="shared" si="16" ref="H36:H56">F36/E36*100</f>
        <v>0</v>
      </c>
      <c r="I36" s="42">
        <f t="shared" si="12"/>
        <v>-6</v>
      </c>
      <c r="J36" s="42">
        <f aca="true" t="shared" si="17" ref="J36:J56">F36/D36*100</f>
        <v>0</v>
      </c>
      <c r="K36" s="42">
        <f>F36-1.67</f>
        <v>-1.67</v>
      </c>
      <c r="L36" s="42">
        <f>F36/1.67*100</f>
        <v>0</v>
      </c>
      <c r="M36" s="32">
        <f t="shared" si="13"/>
        <v>2</v>
      </c>
      <c r="N36" s="32">
        <f t="shared" si="14"/>
        <v>0</v>
      </c>
      <c r="O36" s="40">
        <f t="shared" si="15"/>
        <v>-2</v>
      </c>
      <c r="P36" s="42">
        <f aca="true" t="shared" si="18" ref="P36:P56">N36/M36*100</f>
        <v>0</v>
      </c>
      <c r="Q36" s="42">
        <f>N36-4.23</f>
        <v>-4.23</v>
      </c>
      <c r="R36" s="100">
        <f>N36/4.23</f>
        <v>0</v>
      </c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1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>
        <f>N37-0</f>
        <v>0</v>
      </c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17">
        <v>-9.82</v>
      </c>
      <c r="G38" s="36">
        <f t="shared" si="11"/>
        <v>-17.82</v>
      </c>
      <c r="H38" s="32">
        <f t="shared" si="16"/>
        <v>-122.75</v>
      </c>
      <c r="I38" s="42">
        <f t="shared" si="12"/>
        <v>-33.82</v>
      </c>
      <c r="J38" s="42">
        <f t="shared" si="17"/>
        <v>-40.91666666666667</v>
      </c>
      <c r="K38" s="42">
        <f>F38-7.6</f>
        <v>-17.42</v>
      </c>
      <c r="L38" s="42">
        <f>F38/7.6*100</f>
        <v>-129.21052631578948</v>
      </c>
      <c r="M38" s="32">
        <f t="shared" si="13"/>
        <v>8</v>
      </c>
      <c r="N38" s="32">
        <f t="shared" si="14"/>
        <v>-9.82</v>
      </c>
      <c r="O38" s="40">
        <f t="shared" si="15"/>
        <v>-17.82</v>
      </c>
      <c r="P38" s="42">
        <f t="shared" si="18"/>
        <v>-122.75</v>
      </c>
      <c r="Q38" s="42">
        <f>N38-9.02</f>
        <v>-18.84</v>
      </c>
      <c r="R38" s="100">
        <f>N38/9.02</f>
        <v>-1.0886917960088693</v>
      </c>
    </row>
    <row r="39" spans="1:18" s="6" customFormat="1" ht="46.5" hidden="1">
      <c r="A39" s="8"/>
      <c r="B39" s="145" t="s">
        <v>84</v>
      </c>
      <c r="C39" s="54">
        <v>21081500</v>
      </c>
      <c r="D39" s="33">
        <v>0</v>
      </c>
      <c r="E39" s="33"/>
      <c r="F39" s="11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1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82</v>
      </c>
      <c r="C41" s="77">
        <v>22012500</v>
      </c>
      <c r="D41" s="33">
        <v>2250</v>
      </c>
      <c r="E41" s="33">
        <v>750</v>
      </c>
      <c r="F41" s="117">
        <v>224.06</v>
      </c>
      <c r="G41" s="36">
        <f t="shared" si="11"/>
        <v>-525.94</v>
      </c>
      <c r="H41" s="32">
        <f t="shared" si="16"/>
        <v>29.874666666666666</v>
      </c>
      <c r="I41" s="42">
        <f t="shared" si="12"/>
        <v>-2025.94</v>
      </c>
      <c r="J41" s="42">
        <f t="shared" si="17"/>
        <v>9.958222222222222</v>
      </c>
      <c r="K41" s="42">
        <f>F41-0</f>
        <v>224.06</v>
      </c>
      <c r="L41" s="42"/>
      <c r="M41" s="32">
        <f t="shared" si="13"/>
        <v>750</v>
      </c>
      <c r="N41" s="32">
        <f t="shared" si="14"/>
        <v>224.06</v>
      </c>
      <c r="O41" s="40">
        <f t="shared" si="15"/>
        <v>-525.94</v>
      </c>
      <c r="P41" s="42">
        <f t="shared" si="18"/>
        <v>29.874666666666666</v>
      </c>
      <c r="Q41" s="42"/>
      <c r="R41" s="100"/>
    </row>
    <row r="42" spans="1:18" s="6" customFormat="1" ht="30.75">
      <c r="A42" s="8"/>
      <c r="B42" s="35" t="s">
        <v>113</v>
      </c>
      <c r="C42" s="77">
        <v>22012600</v>
      </c>
      <c r="D42" s="33">
        <v>0</v>
      </c>
      <c r="E42" s="33">
        <v>0</v>
      </c>
      <c r="F42" s="117">
        <v>0.86</v>
      </c>
      <c r="G42" s="36">
        <f t="shared" si="11"/>
        <v>0.86</v>
      </c>
      <c r="H42" s="32"/>
      <c r="I42" s="42">
        <f t="shared" si="12"/>
        <v>0.86</v>
      </c>
      <c r="J42" s="42"/>
      <c r="K42" s="42"/>
      <c r="L42" s="42"/>
      <c r="M42" s="32">
        <f t="shared" si="13"/>
        <v>0</v>
      </c>
      <c r="N42" s="32">
        <f t="shared" si="14"/>
        <v>0.86</v>
      </c>
      <c r="O42" s="40">
        <f t="shared" si="15"/>
        <v>0.86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1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1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>
        <f>N44-647.49</f>
        <v>68.74000000000001</v>
      </c>
      <c r="R44" s="100">
        <f>N44/647.49</f>
        <v>1.1061638017575561</v>
      </c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17">
        <v>179.4</v>
      </c>
      <c r="G45" s="36">
        <f t="shared" si="11"/>
        <v>-326.70000000000005</v>
      </c>
      <c r="H45" s="32">
        <f t="shared" si="16"/>
        <v>35.44754001185537</v>
      </c>
      <c r="I45" s="42">
        <f t="shared" si="12"/>
        <v>-1338.8999999999999</v>
      </c>
      <c r="J45" s="42">
        <f t="shared" si="17"/>
        <v>11.815846670618456</v>
      </c>
      <c r="K45" s="42">
        <f>F45-59.21</f>
        <v>120.19</v>
      </c>
      <c r="L45" s="42">
        <f>F45/59.21*100</f>
        <v>302.9893599054214</v>
      </c>
      <c r="M45" s="32">
        <f t="shared" si="13"/>
        <v>506.1</v>
      </c>
      <c r="N45" s="32">
        <f t="shared" si="14"/>
        <v>179.4</v>
      </c>
      <c r="O45" s="40">
        <f t="shared" si="15"/>
        <v>-326.70000000000005</v>
      </c>
      <c r="P45" s="42">
        <f t="shared" si="18"/>
        <v>35.44754001185537</v>
      </c>
      <c r="Q45" s="42">
        <f>N45-79.51</f>
        <v>99.89</v>
      </c>
      <c r="R45" s="100">
        <f>N45/79.51</f>
        <v>2.25631995975349</v>
      </c>
    </row>
    <row r="46" spans="1:18" s="6" customFormat="1" ht="15">
      <c r="A46" s="8"/>
      <c r="B46" s="55" t="s">
        <v>102</v>
      </c>
      <c r="C46" s="138">
        <v>22090100</v>
      </c>
      <c r="D46" s="109">
        <v>165</v>
      </c>
      <c r="E46" s="109">
        <v>55</v>
      </c>
      <c r="F46" s="118">
        <v>15.22</v>
      </c>
      <c r="G46" s="36">
        <f t="shared" si="11"/>
        <v>-39.78</v>
      </c>
      <c r="H46" s="32">
        <f t="shared" si="16"/>
        <v>27.672727272727276</v>
      </c>
      <c r="I46" s="42">
        <f t="shared" si="12"/>
        <v>-149.78</v>
      </c>
      <c r="J46" s="42">
        <f t="shared" si="17"/>
        <v>9.224242424242425</v>
      </c>
      <c r="K46" s="110">
        <f>F46-857.86</f>
        <v>-842.64</v>
      </c>
      <c r="L46" s="110">
        <f>F46/857.86*100</f>
        <v>1.7741822675028558</v>
      </c>
      <c r="M46" s="32">
        <f t="shared" si="13"/>
        <v>55</v>
      </c>
      <c r="N46" s="32">
        <f t="shared" si="14"/>
        <v>15.22</v>
      </c>
      <c r="O46" s="40">
        <f t="shared" si="15"/>
        <v>-39.78</v>
      </c>
      <c r="P46" s="42">
        <f t="shared" si="18"/>
        <v>27.672727272727276</v>
      </c>
      <c r="Q46" s="42"/>
      <c r="R46" s="100"/>
    </row>
    <row r="47" spans="1:18" s="6" customFormat="1" ht="15">
      <c r="A47" s="8"/>
      <c r="B47" s="55" t="s">
        <v>99</v>
      </c>
      <c r="C47" s="138">
        <v>22090200</v>
      </c>
      <c r="D47" s="109">
        <v>3</v>
      </c>
      <c r="E47" s="109">
        <v>1</v>
      </c>
      <c r="F47" s="118">
        <v>0</v>
      </c>
      <c r="G47" s="36">
        <f t="shared" si="11"/>
        <v>-1</v>
      </c>
      <c r="H47" s="32">
        <f t="shared" si="16"/>
        <v>0</v>
      </c>
      <c r="I47" s="42">
        <f t="shared" si="12"/>
        <v>-3</v>
      </c>
      <c r="J47" s="42">
        <f t="shared" si="17"/>
        <v>0</v>
      </c>
      <c r="K47" s="110">
        <f>F47-0</f>
        <v>0</v>
      </c>
      <c r="L47" s="110"/>
      <c r="M47" s="32">
        <f t="shared" si="13"/>
        <v>1</v>
      </c>
      <c r="N47" s="32">
        <f t="shared" si="14"/>
        <v>0</v>
      </c>
      <c r="O47" s="40">
        <f t="shared" si="15"/>
        <v>-1</v>
      </c>
      <c r="P47" s="42">
        <f t="shared" si="18"/>
        <v>0</v>
      </c>
      <c r="Q47" s="42"/>
      <c r="R47" s="100"/>
    </row>
    <row r="48" spans="1:18" s="6" customFormat="1" ht="15">
      <c r="A48" s="8"/>
      <c r="B48" s="55" t="s">
        <v>100</v>
      </c>
      <c r="C48" s="138">
        <v>22090300</v>
      </c>
      <c r="D48" s="109">
        <v>0.3</v>
      </c>
      <c r="E48" s="109">
        <v>0.1</v>
      </c>
      <c r="F48" s="11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101</v>
      </c>
      <c r="C49" s="138">
        <v>22090400</v>
      </c>
      <c r="D49" s="109">
        <v>1350</v>
      </c>
      <c r="E49" s="109">
        <v>450</v>
      </c>
      <c r="F49" s="118">
        <v>164.18</v>
      </c>
      <c r="G49" s="36">
        <f t="shared" si="11"/>
        <v>-285.82</v>
      </c>
      <c r="H49" s="32">
        <f t="shared" si="16"/>
        <v>36.48444444444445</v>
      </c>
      <c r="I49" s="42">
        <f t="shared" si="12"/>
        <v>-1185.82</v>
      </c>
      <c r="J49" s="42">
        <f t="shared" si="17"/>
        <v>12.16148148148148</v>
      </c>
      <c r="K49" s="110">
        <f>F49-117.58</f>
        <v>46.60000000000001</v>
      </c>
      <c r="L49" s="110">
        <f>F49/117.58*100</f>
        <v>139.6325905766287</v>
      </c>
      <c r="M49" s="32">
        <f t="shared" si="13"/>
        <v>450</v>
      </c>
      <c r="N49" s="32">
        <f t="shared" si="14"/>
        <v>164.18</v>
      </c>
      <c r="O49" s="40">
        <f t="shared" si="15"/>
        <v>-285.82</v>
      </c>
      <c r="P49" s="42">
        <f t="shared" si="18"/>
        <v>36.48444444444445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17">
        <v>0</v>
      </c>
      <c r="G50" s="36">
        <f t="shared" si="11"/>
        <v>0</v>
      </c>
      <c r="H50" s="32"/>
      <c r="I50" s="42">
        <f t="shared" si="12"/>
        <v>0</v>
      </c>
      <c r="J50" s="42"/>
      <c r="K50" s="42">
        <f>F50-0</f>
        <v>0</v>
      </c>
      <c r="L50" s="42"/>
      <c r="M50" s="32">
        <f t="shared" si="13"/>
        <v>0</v>
      </c>
      <c r="N50" s="32">
        <f t="shared" si="14"/>
        <v>0</v>
      </c>
      <c r="O50" s="40">
        <f t="shared" si="15"/>
        <v>0</v>
      </c>
      <c r="P50" s="42"/>
      <c r="Q50" s="42">
        <f>N50-0</f>
        <v>0</v>
      </c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17">
        <v>173.24</v>
      </c>
      <c r="G51" s="36">
        <f t="shared" si="11"/>
        <v>-176.76</v>
      </c>
      <c r="H51" s="32">
        <f t="shared" si="16"/>
        <v>49.49714285714286</v>
      </c>
      <c r="I51" s="42">
        <f t="shared" si="12"/>
        <v>-876.76</v>
      </c>
      <c r="J51" s="42">
        <f t="shared" si="17"/>
        <v>16.49904761904762</v>
      </c>
      <c r="K51" s="42">
        <f>F51-263.2</f>
        <v>-89.95999999999998</v>
      </c>
      <c r="L51" s="42">
        <f>F51/3812.69*100</f>
        <v>4.543773556203101</v>
      </c>
      <c r="M51" s="32">
        <f t="shared" si="13"/>
        <v>350</v>
      </c>
      <c r="N51" s="32">
        <f t="shared" si="14"/>
        <v>173.24</v>
      </c>
      <c r="O51" s="40">
        <f t="shared" si="15"/>
        <v>-176.76</v>
      </c>
      <c r="P51" s="42">
        <f t="shared" si="18"/>
        <v>49.49714285714286</v>
      </c>
      <c r="Q51" s="42">
        <f>N51-277.38</f>
        <v>-104.13999999999999</v>
      </c>
      <c r="R51" s="100">
        <f>N51/277.38</f>
        <v>0.624558367582378</v>
      </c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1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18">
        <v>51.6</v>
      </c>
      <c r="G53" s="36">
        <f t="shared" si="11"/>
        <v>51.6</v>
      </c>
      <c r="H53" s="32"/>
      <c r="I53" s="42">
        <f t="shared" si="12"/>
        <v>51.6</v>
      </c>
      <c r="J53" s="42"/>
      <c r="K53" s="112">
        <f>F53-82.7</f>
        <v>-31.1</v>
      </c>
      <c r="L53" s="112">
        <f>F53/82.7*100</f>
        <v>62.39419588875453</v>
      </c>
      <c r="M53" s="32">
        <f t="shared" si="13"/>
        <v>0</v>
      </c>
      <c r="N53" s="32">
        <f t="shared" si="14"/>
        <v>51.6</v>
      </c>
      <c r="O53" s="40">
        <f t="shared" si="15"/>
        <v>51.6</v>
      </c>
      <c r="P53" s="42"/>
      <c r="Q53" s="42">
        <f>N53-64.93</f>
        <v>-13.330000000000005</v>
      </c>
      <c r="R53" s="100">
        <f>N53/64.93</f>
        <v>0.7947019867549668</v>
      </c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17">
        <v>0</v>
      </c>
      <c r="G55" s="36">
        <f t="shared" si="11"/>
        <v>0</v>
      </c>
      <c r="H55" s="32"/>
      <c r="I55" s="42">
        <f t="shared" si="12"/>
        <v>0</v>
      </c>
      <c r="J55" s="42"/>
      <c r="K55" s="42">
        <f>F55-0</f>
        <v>0</v>
      </c>
      <c r="L55" s="42"/>
      <c r="M55" s="32">
        <f t="shared" si="13"/>
        <v>0</v>
      </c>
      <c r="N55" s="32">
        <f t="shared" si="14"/>
        <v>0</v>
      </c>
      <c r="O55" s="40">
        <f t="shared" si="15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17">
        <v>0</v>
      </c>
      <c r="G56" s="36">
        <f t="shared" si="11"/>
        <v>-1</v>
      </c>
      <c r="H56" s="32">
        <f t="shared" si="16"/>
        <v>0</v>
      </c>
      <c r="I56" s="42">
        <f t="shared" si="12"/>
        <v>-3</v>
      </c>
      <c r="J56" s="42">
        <f t="shared" si="17"/>
        <v>0</v>
      </c>
      <c r="K56" s="42">
        <f>F56-1.8</f>
        <v>-1.8</v>
      </c>
      <c r="L56" s="42">
        <f>F56/1.8*100</f>
        <v>0</v>
      </c>
      <c r="M56" s="32">
        <f t="shared" si="13"/>
        <v>1</v>
      </c>
      <c r="N56" s="32">
        <f t="shared" si="14"/>
        <v>0</v>
      </c>
      <c r="O56" s="40">
        <f t="shared" si="15"/>
        <v>-1</v>
      </c>
      <c r="P56" s="42">
        <f t="shared" si="1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1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162278.69999999998</v>
      </c>
      <c r="E58" s="15">
        <f>E8+E33+E56+E57</f>
        <v>54332.799999999996</v>
      </c>
      <c r="F58" s="15">
        <f>F8+F33+F56+F57</f>
        <v>20446.88</v>
      </c>
      <c r="G58" s="37">
        <f>F58-E58</f>
        <v>-33885.92</v>
      </c>
      <c r="H58" s="38">
        <f>F58/E58*100</f>
        <v>37.63266387890924</v>
      </c>
      <c r="I58" s="28">
        <f>F58-D58</f>
        <v>-141831.81999999998</v>
      </c>
      <c r="J58" s="28">
        <f>F58/D58*100</f>
        <v>12.599854447934328</v>
      </c>
      <c r="K58" s="28">
        <f>K8+K33+K56+K57</f>
        <v>-18292.49</v>
      </c>
      <c r="L58" s="28">
        <f>F58/38738.5*100</f>
        <v>52.781806213456896</v>
      </c>
      <c r="M58" s="15">
        <f>M8+M33+M56+M57</f>
        <v>54332.799999999996</v>
      </c>
      <c r="N58" s="15">
        <f>N8+N33+N56+N57</f>
        <v>20446.02</v>
      </c>
      <c r="O58" s="41">
        <f>N58-M58</f>
        <v>-33886.78</v>
      </c>
      <c r="P58" s="28">
        <f>N58/M58*100</f>
        <v>37.63108104128629</v>
      </c>
      <c r="Q58" s="28">
        <f>N58-34768</f>
        <v>-14321.98</v>
      </c>
      <c r="R58" s="128">
        <f>N58/34768</f>
        <v>0.5880700644270593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114</v>
      </c>
      <c r="C63" s="150">
        <v>12020000</v>
      </c>
      <c r="D63" s="25">
        <v>0</v>
      </c>
      <c r="E63" s="25">
        <v>0</v>
      </c>
      <c r="F63" s="120">
        <v>15.6</v>
      </c>
      <c r="G63" s="36"/>
      <c r="H63" s="32"/>
      <c r="I63" s="43"/>
      <c r="J63" s="43"/>
      <c r="K63" s="43"/>
      <c r="L63" s="43"/>
      <c r="M63" s="33"/>
      <c r="N63" s="33">
        <f>F63</f>
        <v>15.6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20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>
        <f>N64-24.53</f>
        <v>-24.8</v>
      </c>
      <c r="R64" s="103">
        <f>N64/24.53</f>
        <v>-0.0110069302894415</v>
      </c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15.33</v>
      </c>
      <c r="G65" s="45">
        <f>F65-E65</f>
        <v>15.33</v>
      </c>
      <c r="H65" s="52"/>
      <c r="I65" s="44">
        <f>F65-D65</f>
        <v>15.33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15.33</v>
      </c>
      <c r="O65" s="44">
        <f>N65-M65</f>
        <v>15.33</v>
      </c>
      <c r="P65" s="44"/>
      <c r="Q65" s="44">
        <f>N65-92.85</f>
        <v>-77.52</v>
      </c>
      <c r="R65" s="104">
        <f>N65/92.85</f>
        <v>0.16510500807754444</v>
      </c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20">
        <v>0</v>
      </c>
      <c r="G67" s="36">
        <f aca="true" t="shared" si="19" ref="G67:G76">F67-E67</f>
        <v>0</v>
      </c>
      <c r="H67" s="32"/>
      <c r="I67" s="43">
        <f aca="true" t="shared" si="20" ref="I67:I76">F67-D67</f>
        <v>0</v>
      </c>
      <c r="J67" s="43"/>
      <c r="K67" s="43">
        <f>F67-0.03</f>
        <v>-0.03</v>
      </c>
      <c r="L67" s="43">
        <f>F67/0.03*100</f>
        <v>0</v>
      </c>
      <c r="M67" s="32">
        <f>E67</f>
        <v>0</v>
      </c>
      <c r="N67" s="32">
        <f>F67</f>
        <v>0</v>
      </c>
      <c r="O67" s="40">
        <f aca="true" t="shared" si="21" ref="O67:O79">N67-M67</f>
        <v>0</v>
      </c>
      <c r="P67" s="43"/>
      <c r="Q67" s="43">
        <f>N67-0.04</f>
        <v>-0.04</v>
      </c>
      <c r="R67" s="103">
        <f>N67/0.04</f>
        <v>0</v>
      </c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20">
        <v>0</v>
      </c>
      <c r="G68" s="36">
        <f t="shared" si="19"/>
        <v>0</v>
      </c>
      <c r="H68" s="32"/>
      <c r="I68" s="43">
        <f t="shared" si="20"/>
        <v>0</v>
      </c>
      <c r="J68" s="43"/>
      <c r="K68" s="43">
        <f>F68-259.69</f>
        <v>-259.69</v>
      </c>
      <c r="L68" s="43">
        <f>F68/259.69*100</f>
        <v>0</v>
      </c>
      <c r="M68" s="32">
        <f>E68</f>
        <v>0</v>
      </c>
      <c r="N68" s="32">
        <f>F68</f>
        <v>0</v>
      </c>
      <c r="O68" s="40">
        <f t="shared" si="21"/>
        <v>0</v>
      </c>
      <c r="P68" s="43"/>
      <c r="Q68" s="43">
        <f>N68-450.01</f>
        <v>-450.01</v>
      </c>
      <c r="R68" s="103">
        <f>N68/450.01</f>
        <v>0</v>
      </c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20">
        <v>2.72</v>
      </c>
      <c r="G69" s="36">
        <f t="shared" si="19"/>
        <v>2.72</v>
      </c>
      <c r="H69" s="32"/>
      <c r="I69" s="43">
        <f t="shared" si="20"/>
        <v>2.72</v>
      </c>
      <c r="J69" s="43"/>
      <c r="K69" s="43">
        <f>F69-(-16.04)</f>
        <v>18.759999999999998</v>
      </c>
      <c r="L69" s="43">
        <f>F69/(-16.04)*100</f>
        <v>-16.957605985037407</v>
      </c>
      <c r="M69" s="32">
        <f>E69</f>
        <v>0</v>
      </c>
      <c r="N69" s="32">
        <f>F69</f>
        <v>2.72</v>
      </c>
      <c r="O69" s="40">
        <f t="shared" si="21"/>
        <v>2.72</v>
      </c>
      <c r="P69" s="43"/>
      <c r="Q69" s="43">
        <f>N69-1.05</f>
        <v>1.6700000000000002</v>
      </c>
      <c r="R69" s="103">
        <f>N69/1.05</f>
        <v>2.5904761904761906</v>
      </c>
    </row>
    <row r="70" spans="2:18" ht="15">
      <c r="B70" s="23" t="s">
        <v>115</v>
      </c>
      <c r="C70" s="78">
        <v>24110700</v>
      </c>
      <c r="D70" s="25">
        <v>0</v>
      </c>
      <c r="E70" s="25">
        <v>0</v>
      </c>
      <c r="F70" s="120">
        <v>1</v>
      </c>
      <c r="G70" s="36">
        <f t="shared" si="19"/>
        <v>1</v>
      </c>
      <c r="H70" s="32"/>
      <c r="I70" s="43">
        <f t="shared" si="20"/>
        <v>1</v>
      </c>
      <c r="J70" s="43"/>
      <c r="K70" s="43"/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19">
        <f>F67+F68+F69+F70</f>
        <v>3.72</v>
      </c>
      <c r="G71" s="45">
        <f t="shared" si="19"/>
        <v>3.72</v>
      </c>
      <c r="H71" s="52"/>
      <c r="I71" s="44">
        <f t="shared" si="20"/>
        <v>3.72</v>
      </c>
      <c r="J71" s="44"/>
      <c r="K71" s="44">
        <f>K67+K68+K69</f>
        <v>-240.95999999999998</v>
      </c>
      <c r="L71" s="44">
        <f>F71/243.68*100</f>
        <v>1.5265922521339463</v>
      </c>
      <c r="M71" s="45">
        <f>M67+M68+M69</f>
        <v>0</v>
      </c>
      <c r="N71" s="45">
        <f>N67+N68+N69</f>
        <v>2.72</v>
      </c>
      <c r="O71" s="44">
        <f t="shared" si="21"/>
        <v>2.72</v>
      </c>
      <c r="P71" s="44"/>
      <c r="Q71" s="44">
        <f>N71-7985.28</f>
        <v>-7982.5599999999995</v>
      </c>
      <c r="R71" s="129">
        <f>N71/7985.28</f>
        <v>0.00034062675322593574</v>
      </c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20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>
        <f>F72/35.01*100</f>
        <v>0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>
        <f>N72-0.16</f>
        <v>-0.16</v>
      </c>
      <c r="R72" s="103">
        <f>N72/0.16</f>
        <v>0</v>
      </c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>
        <f>F73/19.48*100</f>
        <v>0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>
        <f>N73-8.76</f>
        <v>-8.76</v>
      </c>
      <c r="R73" s="105">
        <f>N73/8.76</f>
        <v>0</v>
      </c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20">
        <v>0</v>
      </c>
      <c r="G74" s="36">
        <f t="shared" si="19"/>
        <v>0</v>
      </c>
      <c r="H74" s="32"/>
      <c r="I74" s="43">
        <f t="shared" si="20"/>
        <v>0</v>
      </c>
      <c r="J74" s="43"/>
      <c r="K74" s="43">
        <f>F74-0.17</f>
        <v>-0.17</v>
      </c>
      <c r="L74" s="43">
        <f>F74/0.17*100</f>
        <v>0</v>
      </c>
      <c r="M74" s="32">
        <f t="shared" si="22"/>
        <v>0</v>
      </c>
      <c r="N74" s="32">
        <f t="shared" si="22"/>
        <v>0</v>
      </c>
      <c r="O74" s="40">
        <f t="shared" si="21"/>
        <v>0</v>
      </c>
      <c r="P74" s="43"/>
      <c r="Q74" s="43">
        <f>N74-(-0.21)</f>
        <v>0.21</v>
      </c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19">
        <f>F72+F74+F73</f>
        <v>0</v>
      </c>
      <c r="G75" s="45">
        <f t="shared" si="19"/>
        <v>0</v>
      </c>
      <c r="H75" s="52"/>
      <c r="I75" s="44">
        <f t="shared" si="20"/>
        <v>0</v>
      </c>
      <c r="J75" s="44"/>
      <c r="K75" s="44">
        <f>K72+K73+K74</f>
        <v>-0.17</v>
      </c>
      <c r="L75" s="44">
        <f>F75/0.17*100</f>
        <v>0</v>
      </c>
      <c r="M75" s="45">
        <f>M72+M74+M73</f>
        <v>0</v>
      </c>
      <c r="N75" s="45">
        <f>N72+N74+N73</f>
        <v>0</v>
      </c>
      <c r="O75" s="44">
        <f t="shared" si="21"/>
        <v>0</v>
      </c>
      <c r="P75" s="44"/>
      <c r="Q75" s="44">
        <f>N75-26.38</f>
        <v>-26.38</v>
      </c>
      <c r="R75" s="102">
        <f>N75/26.38</f>
        <v>0</v>
      </c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20">
        <v>0</v>
      </c>
      <c r="G76" s="36">
        <f t="shared" si="19"/>
        <v>0</v>
      </c>
      <c r="H76" s="32"/>
      <c r="I76" s="43">
        <f t="shared" si="20"/>
        <v>0</v>
      </c>
      <c r="J76" s="43"/>
      <c r="K76" s="43">
        <f>F76-0.59</f>
        <v>-0.59</v>
      </c>
      <c r="L76" s="43">
        <f>F76/0.59*100</f>
        <v>0</v>
      </c>
      <c r="M76" s="32">
        <f>E76</f>
        <v>0</v>
      </c>
      <c r="N76" s="32">
        <f>F76</f>
        <v>0</v>
      </c>
      <c r="O76" s="40">
        <f t="shared" si="21"/>
        <v>0</v>
      </c>
      <c r="P76" s="43"/>
      <c r="Q76" s="43">
        <f>N76-0.45</f>
        <v>-0.45</v>
      </c>
      <c r="R76" s="103">
        <f>N76/0.45</f>
        <v>0</v>
      </c>
    </row>
    <row r="77" spans="2:18" ht="15" hidden="1">
      <c r="B77" s="137"/>
      <c r="C77" s="48"/>
      <c r="D77" s="25"/>
      <c r="E77" s="25"/>
      <c r="F77" s="120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24">
        <f>F65+F76+F71+F75+F77</f>
        <v>19.05</v>
      </c>
      <c r="G78" s="37">
        <f>F78-E78</f>
        <v>19.05</v>
      </c>
      <c r="H78" s="38"/>
      <c r="I78" s="28">
        <f>F78-D78</f>
        <v>19.05</v>
      </c>
      <c r="J78" s="28"/>
      <c r="K78" s="28">
        <f>K65+K71+K75+K76</f>
        <v>-246.38999999999996</v>
      </c>
      <c r="L78" s="28">
        <f>F78/248.84*100</f>
        <v>7.655521620318277</v>
      </c>
      <c r="M78" s="24">
        <f>M65+M76+M71+M75</f>
        <v>0</v>
      </c>
      <c r="N78" s="24">
        <f>N65+N76+N71+N75+N77</f>
        <v>18.05</v>
      </c>
      <c r="O78" s="28">
        <f t="shared" si="21"/>
        <v>18.05</v>
      </c>
      <c r="P78" s="28"/>
      <c r="Q78" s="28">
        <f>N78-8104.96</f>
        <v>-8086.91</v>
      </c>
      <c r="R78" s="101">
        <f>N78/8104.96</f>
        <v>0.0022270313487049906</v>
      </c>
    </row>
    <row r="79" spans="2:18" ht="17.25">
      <c r="B79" s="21" t="s">
        <v>33</v>
      </c>
      <c r="C79" s="71"/>
      <c r="D79" s="24">
        <f>D58+D78</f>
        <v>162278.69999999998</v>
      </c>
      <c r="E79" s="24">
        <f>E58+E78</f>
        <v>54332.799999999996</v>
      </c>
      <c r="F79" s="24">
        <f>F58+F78</f>
        <v>20465.93</v>
      </c>
      <c r="G79" s="37">
        <f>F79-E79</f>
        <v>-33866.869999999995</v>
      </c>
      <c r="H79" s="38">
        <f>F79/E79*100</f>
        <v>37.667725572766365</v>
      </c>
      <c r="I79" s="28">
        <f>F79-D79</f>
        <v>-141812.77</v>
      </c>
      <c r="J79" s="28">
        <f>F79/D79*100</f>
        <v>12.611593511656183</v>
      </c>
      <c r="K79" s="28">
        <f>K58+K78</f>
        <v>-18538.88</v>
      </c>
      <c r="L79" s="28">
        <f>F79/38987.36*100</f>
        <v>52.49375695097077</v>
      </c>
      <c r="M79" s="15">
        <f>M58+M78</f>
        <v>54332.799999999996</v>
      </c>
      <c r="N79" s="15">
        <f>N58+N78</f>
        <v>20464.07</v>
      </c>
      <c r="O79" s="28">
        <f t="shared" si="21"/>
        <v>-33868.729999999996</v>
      </c>
      <c r="P79" s="28">
        <f>N79/M79*100</f>
        <v>37.664302226279524</v>
      </c>
      <c r="Q79" s="28">
        <f>N79-42872.96</f>
        <v>-22408.89</v>
      </c>
      <c r="R79" s="101">
        <f>N79/42872.96</f>
        <v>0.4773188042066608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10</v>
      </c>
      <c r="D81" s="4" t="s">
        <v>36</v>
      </c>
    </row>
    <row r="82" spans="2:17" ht="30.75">
      <c r="B82" s="57" t="s">
        <v>54</v>
      </c>
      <c r="C82" s="31">
        <f>IF(O58&lt;0,ABS(O58/C81),0)</f>
        <v>3388.678</v>
      </c>
      <c r="D82" s="4" t="s">
        <v>24</v>
      </c>
      <c r="G82" s="175"/>
      <c r="H82" s="175"/>
      <c r="I82" s="175"/>
      <c r="J82" s="175"/>
      <c r="K82" s="90"/>
      <c r="L82" s="90"/>
      <c r="P82" s="26"/>
      <c r="Q82" s="26"/>
    </row>
    <row r="83" spans="2:15" ht="34.5" customHeight="1">
      <c r="B83" s="58" t="s">
        <v>56</v>
      </c>
      <c r="C83" s="87">
        <v>42385</v>
      </c>
      <c r="D83" s="31">
        <v>2462.2</v>
      </c>
      <c r="G83" s="4" t="s">
        <v>59</v>
      </c>
      <c r="N83" s="176"/>
      <c r="O83" s="176"/>
    </row>
    <row r="84" spans="3:15" ht="15">
      <c r="C84" s="87">
        <v>42384</v>
      </c>
      <c r="D84" s="31">
        <v>3444.4</v>
      </c>
      <c r="F84" s="124" t="s">
        <v>59</v>
      </c>
      <c r="G84" s="177"/>
      <c r="H84" s="177"/>
      <c r="I84" s="131"/>
      <c r="J84" s="178"/>
      <c r="K84" s="178"/>
      <c r="L84" s="178"/>
      <c r="M84" s="178"/>
      <c r="N84" s="176"/>
      <c r="O84" s="176"/>
    </row>
    <row r="85" spans="3:15" ht="15.75" customHeight="1">
      <c r="C85" s="87">
        <v>42383</v>
      </c>
      <c r="D85" s="31">
        <v>1796.9</v>
      </c>
      <c r="F85" s="73"/>
      <c r="G85" s="177"/>
      <c r="H85" s="177"/>
      <c r="I85" s="131"/>
      <c r="J85" s="181"/>
      <c r="K85" s="181"/>
      <c r="L85" s="181"/>
      <c r="M85" s="181"/>
      <c r="N85" s="176"/>
      <c r="O85" s="176"/>
    </row>
    <row r="86" spans="3:13" ht="15.75" customHeight="1">
      <c r="C86" s="87"/>
      <c r="F86" s="73"/>
      <c r="G86" s="182"/>
      <c r="H86" s="182"/>
      <c r="I86" s="139"/>
      <c r="J86" s="178"/>
      <c r="K86" s="178"/>
      <c r="L86" s="178"/>
      <c r="M86" s="178"/>
    </row>
    <row r="87" spans="2:13" ht="18.75" customHeight="1">
      <c r="B87" s="183" t="s">
        <v>57</v>
      </c>
      <c r="C87" s="184"/>
      <c r="D87" s="148">
        <v>58548.33437</v>
      </c>
      <c r="E87" s="74"/>
      <c r="F87" s="140"/>
      <c r="G87" s="177"/>
      <c r="H87" s="177"/>
      <c r="I87" s="141"/>
      <c r="J87" s="178"/>
      <c r="K87" s="178"/>
      <c r="L87" s="178"/>
      <c r="M87" s="178"/>
    </row>
    <row r="88" spans="6:12" ht="9.75" customHeight="1">
      <c r="F88" s="73"/>
      <c r="G88" s="177"/>
      <c r="H88" s="177"/>
      <c r="I88" s="73"/>
      <c r="J88" s="74"/>
      <c r="K88" s="74"/>
      <c r="L88" s="74"/>
    </row>
    <row r="89" spans="2:12" ht="22.5" customHeight="1" hidden="1">
      <c r="B89" s="185" t="s">
        <v>60</v>
      </c>
      <c r="C89" s="186"/>
      <c r="D89" s="86">
        <v>0</v>
      </c>
      <c r="E89" s="56" t="s">
        <v>24</v>
      </c>
      <c r="F89" s="73"/>
      <c r="G89" s="177"/>
      <c r="H89" s="177"/>
      <c r="I89" s="73"/>
      <c r="J89" s="74"/>
      <c r="K89" s="74"/>
      <c r="L89" s="74"/>
    </row>
    <row r="90" spans="4:15" ht="15">
      <c r="D90" s="84"/>
      <c r="F90" s="73"/>
      <c r="G90" s="74"/>
      <c r="H90" s="74"/>
      <c r="I90" s="74"/>
      <c r="N90" s="177"/>
      <c r="O90" s="177"/>
    </row>
    <row r="91" spans="4:15" ht="15">
      <c r="D91" s="83"/>
      <c r="I91" s="31"/>
      <c r="N91" s="187"/>
      <c r="O91" s="187"/>
    </row>
    <row r="92" spans="14:15" ht="15">
      <c r="N92" s="177"/>
      <c r="O92" s="177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24" bottom="0.39" header="0.18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2016-01-18T08:08:13Z</cp:lastPrinted>
  <dcterms:created xsi:type="dcterms:W3CDTF">2003-07-28T11:27:56Z</dcterms:created>
  <dcterms:modified xsi:type="dcterms:W3CDTF">2016-01-18T08:23:22Z</dcterms:modified>
  <cp:category/>
  <cp:version/>
  <cp:contentType/>
  <cp:contentStatus/>
</cp:coreProperties>
</file>